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 activeTab="1"/>
    <workbookView xWindow="288" yWindow="312" windowWidth="22692" windowHeight="9276" activeTab="1"/>
  </bookViews>
  <sheets>
    <sheet name="Blad4" sheetId="4" r:id="rId1"/>
    <sheet name="Blad1" sheetId="1" r:id="rId2"/>
    <sheet name="Blad2" sheetId="2" r:id="rId3"/>
    <sheet name="Blad3" sheetId="3" r:id="rId4"/>
  </sheets>
  <calcPr calcId="145621"/>
</workbook>
</file>

<file path=xl/calcChain.xml><?xml version="1.0" encoding="utf-8"?>
<calcChain xmlns="http://schemas.openxmlformats.org/spreadsheetml/2006/main">
  <c r="E10" i="1" l="1"/>
  <c r="N46" i="1"/>
  <c r="S11" i="1"/>
  <c r="E59" i="1" l="1"/>
  <c r="S10" i="1"/>
  <c r="E61" i="1"/>
  <c r="E17" i="1"/>
  <c r="E18" i="1" s="1"/>
  <c r="E22" i="1" s="1"/>
  <c r="E42" i="1" l="1"/>
  <c r="N32" i="1"/>
  <c r="N34" i="1" s="1"/>
  <c r="N37" i="1" s="1"/>
  <c r="N38" i="1" s="1"/>
  <c r="N19" i="1" l="1"/>
  <c r="N21" i="1" s="1"/>
  <c r="N24" i="1" s="1"/>
  <c r="N41" i="1" s="1"/>
  <c r="E45" i="1"/>
  <c r="E46" i="1" s="1"/>
  <c r="E30" i="1"/>
  <c r="E33" i="1" s="1"/>
  <c r="E49" i="1" s="1"/>
  <c r="E58" i="1"/>
  <c r="E60" i="1" s="1"/>
  <c r="E63" i="1" s="1"/>
  <c r="H10" i="1"/>
  <c r="N47" i="1" s="1"/>
  <c r="R24" i="1" l="1"/>
  <c r="N42" i="1"/>
  <c r="E53" i="1"/>
  <c r="N49" i="1"/>
  <c r="H33" i="1"/>
  <c r="N53" i="1" l="1"/>
</calcChain>
</file>

<file path=xl/sharedStrings.xml><?xml version="1.0" encoding="utf-8"?>
<sst xmlns="http://schemas.openxmlformats.org/spreadsheetml/2006/main" count="145" uniqueCount="105">
  <si>
    <t>kWh</t>
  </si>
  <si>
    <t>euro</t>
  </si>
  <si>
    <t>m3</t>
  </si>
  <si>
    <t>kWh/m3</t>
  </si>
  <si>
    <t xml:space="preserve"> </t>
  </si>
  <si>
    <t>Verliezen warmtenet</t>
  </si>
  <si>
    <t>%</t>
  </si>
  <si>
    <t>per GJ</t>
  </si>
  <si>
    <t>GJ</t>
  </si>
  <si>
    <t>Calorische waarde gas</t>
  </si>
  <si>
    <t>COP:</t>
  </si>
  <si>
    <t xml:space="preserve">       =</t>
  </si>
  <si>
    <t xml:space="preserve">euro </t>
  </si>
  <si>
    <t>Gas verbruik</t>
  </si>
  <si>
    <t>Warmtepomp aanschaf</t>
  </si>
  <si>
    <t>Investering</t>
  </si>
  <si>
    <t>Deelnemers</t>
  </si>
  <si>
    <t>Per deelnemer</t>
  </si>
  <si>
    <t>Gestegen kosten</t>
  </si>
  <si>
    <t xml:space="preserve">  (moet zijn ACM max</t>
  </si>
  <si>
    <t>Vaste lasten elektra</t>
  </si>
  <si>
    <t>laag door vermindering</t>
  </si>
  <si>
    <t xml:space="preserve"> energiebelasting!</t>
  </si>
  <si>
    <t>Gas per m3</t>
  </si>
  <si>
    <t>Aantal m3</t>
  </si>
  <si>
    <t>totaal</t>
  </si>
  <si>
    <t>variabel</t>
  </si>
  <si>
    <t>Het warmtenet moet van grondwater (18 graden?) naar 70 graden en bereikt daarom geen hoge COP.</t>
  </si>
  <si>
    <t>De particulier moet (veelal) van de buitenluchttemperatuur naar 35 tot 45 graden (bij een goed geïsoleerd huis) en bereikt daarom een betere COP, maar die wisselt wel door het jaar!</t>
  </si>
  <si>
    <t>energie inkomsten van de aansluiting na belastingafdracht door warmtenet</t>
  </si>
  <si>
    <t>Duidelijk blijkt telkens weer dat de aanlegkosten voor een warmtenet zo hoog zijn dat het niet betaalbaar te krijgen lijkt.</t>
  </si>
  <si>
    <t>Alle variabelen in de gele vakken kunnen veranderd worden om de effecten te zien.</t>
  </si>
  <si>
    <t>Deze kunnen echter een grote invloed hebben.</t>
  </si>
  <si>
    <t>Subsidies, gestegen bouwkosten en andere exploitatiekosten zijn niet bekend en dus niet meegenomen in beide situaties.</t>
  </si>
  <si>
    <t>Onderhoud per jaar</t>
  </si>
  <si>
    <t>exploitatie/jaar/deelnemer</t>
  </si>
  <si>
    <t xml:space="preserve">CV ketel + onderhoud </t>
  </si>
  <si>
    <r>
      <t xml:space="preserve">De particulier kan nu nog salderen en </t>
    </r>
    <r>
      <rPr>
        <u/>
        <sz val="11"/>
        <color theme="1"/>
        <rFont val="Calibri"/>
        <family val="2"/>
        <scheme val="minor"/>
      </rPr>
      <t>door zijn zonnepanelen heel veel besparen op zijn elektra</t>
    </r>
    <r>
      <rPr>
        <sz val="11"/>
        <color theme="1"/>
        <rFont val="Calibri"/>
        <family val="2"/>
        <scheme val="minor"/>
      </rPr>
      <t xml:space="preserve"> , maar dat verslechtert sterk in 2027. Zonnepanelen wekken weinig op in de winter, juist als de warmtepompen moeten draaien.</t>
    </r>
  </si>
  <si>
    <t>Prijs per kWh</t>
  </si>
  <si>
    <t xml:space="preserve">min subsidie </t>
  </si>
  <si>
    <t xml:space="preserve">looptijd </t>
  </si>
  <si>
    <t>annuïteit</t>
  </si>
  <si>
    <t>rente</t>
  </si>
  <si>
    <t>maanden</t>
  </si>
  <si>
    <t>per jaar</t>
  </si>
  <si>
    <t>per mnd</t>
  </si>
  <si>
    <t>Kosten elektra privé pomp</t>
  </si>
  <si>
    <t>Vaste kosten particulier met warmtepomp</t>
  </si>
  <si>
    <t>Berekening warmtevraag op grond van het (oude) gasverbruik.</t>
  </si>
  <si>
    <t>Totaal gas per jaar</t>
  </si>
  <si>
    <t>Energiekosten (variabel)</t>
  </si>
  <si>
    <t>Kosten particulier met gas CV per jaar</t>
  </si>
  <si>
    <t>Kosten particulier met warmtepomp per jaar</t>
  </si>
  <si>
    <r>
      <t>Totaal Priv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 xml:space="preserve"> Warmtepomp per jaar</t>
    </r>
  </si>
  <si>
    <t>Kosten bij aansluiting op het warmtenet per jaar.</t>
  </si>
  <si>
    <t xml:space="preserve"> ACM max vaste lasten</t>
  </si>
  <si>
    <t>energiekosten incl. belasting</t>
  </si>
  <si>
    <t>Verbruik GJ</t>
  </si>
  <si>
    <t>Kosten 1 GJ (ACM max)</t>
  </si>
  <si>
    <t>Elektriciteitsvraag is netto</t>
  </si>
  <si>
    <t>Elektriciteitsvraag is bruto</t>
  </si>
  <si>
    <t>euro/GJ</t>
  </si>
  <si>
    <t>ACM maximum prijs per GJ</t>
  </si>
  <si>
    <t>Indien nodig raadpleeg de toelichting bij dit speadsheet.</t>
  </si>
  <si>
    <t>Warmtevraag van woning</t>
  </si>
  <si>
    <t>Totaal bij Warmtenet per jaar</t>
  </si>
  <si>
    <t>opbrengst/GJ voor warmtenet</t>
  </si>
  <si>
    <t xml:space="preserve">  min belastingen; dit is nog onbekend)</t>
  </si>
  <si>
    <t>Inkomsten warmtenet per jaar</t>
  </si>
  <si>
    <t>ACM max bedrag vaste lasten min af te dragen belastingen)</t>
  </si>
  <si>
    <t>Totaal</t>
  </si>
  <si>
    <t>totale inkomsten warmtenet voor deze aansluiting per jaar</t>
  </si>
  <si>
    <t>euro/jr</t>
  </si>
  <si>
    <t>totale investeringskosten</t>
  </si>
  <si>
    <t>energie kosten/jaar</t>
  </si>
  <si>
    <t>Voor deze aansluiting, dus met bovengenoemde warmtevraag</t>
  </si>
  <si>
    <t>Totale kosten warmtenet per jr</t>
  </si>
  <si>
    <t>Suggesties ter verbetering van dit spreadsheet zijn welkom.</t>
  </si>
  <si>
    <t>Vaste lasten gascontract</t>
  </si>
  <si>
    <t>ACM max voor vaste lasten</t>
  </si>
  <si>
    <t>grootverbruiker nog zonder belastingen</t>
  </si>
  <si>
    <t>Subsidie (WIS)</t>
  </si>
  <si>
    <t>Individuele subsidie (ISDE)</t>
  </si>
  <si>
    <t>totale investering</t>
  </si>
  <si>
    <t>kleine verschillen door afrondingen</t>
  </si>
  <si>
    <t>Inkomsten voor Vaste lasten</t>
  </si>
  <si>
    <t>Inkomsten geleverde warmte</t>
  </si>
  <si>
    <t>Spreadsheet Warmtekosten gas-pomp-net</t>
  </si>
  <si>
    <t>Mensen die op gas kookten moeten</t>
  </si>
  <si>
    <t>de aanschaf en installatie van kookplaat (oven en pannen?)</t>
  </si>
  <si>
    <t>meerekenen (eenmalig), alsmede</t>
  </si>
  <si>
    <t xml:space="preserve">Warmtenet saldo </t>
  </si>
  <si>
    <t>Door allerlei variabelen te veranderen kan iedereen zichzelf of een ander rijk of arm rekenen! Blijf reëel.</t>
  </si>
  <si>
    <t>voor deze aansluiting per jaar</t>
  </si>
  <si>
    <t>Pro Memorie bij een privé warmtepomp of aansluiting op het warmtenet:</t>
  </si>
  <si>
    <t>Elektriciteitvraag is dan</t>
  </si>
  <si>
    <t>Kosten voor warmtenet voor deze aansluiting per jaar</t>
  </si>
  <si>
    <t>Elektrakosten / jaar</t>
  </si>
  <si>
    <t>Vaste kosten warmtenet voor deze aansluiting per jaar</t>
  </si>
  <si>
    <t>opbrengst VL/aansluiting</t>
  </si>
  <si>
    <t>Randvoorwaarden Autoriteit Consument enMarkt en deel daarvan voor het warmtenet</t>
  </si>
  <si>
    <t>het jaarlijkse extra elektriciteit gebruik.</t>
  </si>
  <si>
    <t>Muiderberg,  6 dec 2025</t>
  </si>
  <si>
    <t>ronslockers@gmail.com</t>
  </si>
  <si>
    <t>Coëfficiënt Of Production: energieopbrengst = COP x energiegebruik warmtepomp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</si>
</sst>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€&quot;\ #,##0.00;[Red]&quot;€&quot;\ \-#,##0.00"/>
    <numFmt numFmtId="166" formatCode="0.0"/>
    <numFmt numFmtId="167" formatCode="&quot;€&quot;\ #,##0"/>
    <numFmt numFmtId="171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  <xf numFmtId="0" fontId="0" fillId="2" borderId="0" xfId="0" applyFill="1"/>
    <xf numFmtId="0" fontId="0" fillId="0" borderId="0" xfId="0" applyFill="1"/>
    <xf numFmtId="1" fontId="0" fillId="0" borderId="0" xfId="0" applyNumberFormat="1"/>
    <xf numFmtId="0" fontId="0" fillId="0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0" applyFont="1"/>
    <xf numFmtId="1" fontId="0" fillId="0" borderId="0" xfId="0" applyNumberFormat="1" applyFill="1"/>
    <xf numFmtId="15" fontId="0" fillId="0" borderId="0" xfId="0" applyNumberFormat="1"/>
    <xf numFmtId="8" fontId="0" fillId="0" borderId="0" xfId="0" applyNumberFormat="1"/>
    <xf numFmtId="0" fontId="0" fillId="0" borderId="0" xfId="0" applyFill="1" applyProtection="1">
      <protection locked="0"/>
    </xf>
    <xf numFmtId="0" fontId="1" fillId="0" borderId="0" xfId="0" applyFo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2" fontId="0" fillId="0" borderId="0" xfId="0" applyNumberFormat="1" applyBorder="1" applyAlignment="1">
      <alignment horizontal="right"/>
    </xf>
    <xf numFmtId="2" fontId="0" fillId="2" borderId="0" xfId="0" applyNumberFormat="1" applyFill="1" applyBorder="1" applyProtection="1">
      <protection locked="0"/>
    </xf>
    <xf numFmtId="1" fontId="0" fillId="0" borderId="0" xfId="0" applyNumberFormat="1" applyBorder="1"/>
    <xf numFmtId="1" fontId="0" fillId="2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1" fillId="0" borderId="0" xfId="0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4" xfId="0" applyFont="1" applyBorder="1"/>
    <xf numFmtId="0" fontId="0" fillId="0" borderId="5" xfId="0" applyBorder="1" applyAlignment="1">
      <alignment horizontal="right"/>
    </xf>
    <xf numFmtId="0" fontId="0" fillId="0" borderId="4" xfId="0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1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 applyAlignment="1">
      <alignment horizontal="right"/>
    </xf>
    <xf numFmtId="0" fontId="2" fillId="0" borderId="1" xfId="0" applyFont="1" applyBorder="1"/>
    <xf numFmtId="0" fontId="0" fillId="0" borderId="0" xfId="0" applyFont="1" applyBorder="1"/>
    <xf numFmtId="0" fontId="0" fillId="0" borderId="3" xfId="0" applyBorder="1"/>
    <xf numFmtId="0" fontId="0" fillId="0" borderId="5" xfId="0" applyBorder="1"/>
    <xf numFmtId="0" fontId="0" fillId="0" borderId="7" xfId="0" applyFill="1" applyBorder="1"/>
    <xf numFmtId="0" fontId="0" fillId="0" borderId="7" xfId="0" applyFont="1" applyBorder="1"/>
    <xf numFmtId="0" fontId="0" fillId="0" borderId="8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167" fontId="0" fillId="2" borderId="0" xfId="0" applyNumberFormat="1" applyFill="1" applyBorder="1" applyProtection="1">
      <protection locked="0"/>
    </xf>
    <xf numFmtId="1" fontId="0" fillId="0" borderId="0" xfId="0" applyNumberFormat="1" applyFill="1" applyBorder="1"/>
    <xf numFmtId="0" fontId="0" fillId="0" borderId="0" xfId="0" applyFill="1" applyBorder="1" applyAlignment="1">
      <alignment horizontal="left"/>
    </xf>
    <xf numFmtId="166" fontId="0" fillId="2" borderId="0" xfId="0" applyNumberFormat="1" applyFill="1" applyBorder="1" applyAlignment="1" applyProtection="1">
      <alignment horizontal="right"/>
      <protection locked="0"/>
    </xf>
    <xf numFmtId="1" fontId="0" fillId="2" borderId="0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1" fillId="0" borderId="6" xfId="0" applyFont="1" applyBorder="1"/>
    <xf numFmtId="0" fontId="1" fillId="0" borderId="7" xfId="0" applyFont="1" applyBorder="1" applyAlignment="1">
      <alignment horizontal="right"/>
    </xf>
    <xf numFmtId="0" fontId="0" fillId="0" borderId="0" xfId="0" applyFont="1" applyFill="1" applyBorder="1"/>
    <xf numFmtId="0" fontId="0" fillId="0" borderId="0" xfId="0" applyFont="1" applyBorder="1" applyAlignment="1">
      <alignment horizontal="right"/>
    </xf>
    <xf numFmtId="0" fontId="0" fillId="0" borderId="0" xfId="0" applyFont="1" applyBorder="1" applyAlignment="1"/>
    <xf numFmtId="2" fontId="0" fillId="0" borderId="0" xfId="0" applyNumberFormat="1" applyFont="1" applyBorder="1" applyAlignment="1">
      <alignment horizontal="right"/>
    </xf>
    <xf numFmtId="0" fontId="0" fillId="2" borderId="0" xfId="0" applyFont="1" applyFill="1" applyBorder="1" applyProtection="1">
      <protection locked="0"/>
    </xf>
    <xf numFmtId="171" fontId="0" fillId="0" borderId="0" xfId="0" applyNumberFormat="1" applyFont="1" applyFill="1" applyBorder="1" applyProtection="1">
      <protection locked="0"/>
    </xf>
    <xf numFmtId="0" fontId="0" fillId="0" borderId="2" xfId="0" applyFont="1" applyBorder="1"/>
    <xf numFmtId="0" fontId="0" fillId="0" borderId="2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4" xfId="0" applyFont="1" applyBorder="1"/>
    <xf numFmtId="0" fontId="0" fillId="0" borderId="5" xfId="0" applyFont="1" applyBorder="1" applyAlignment="1">
      <alignment horizontal="right"/>
    </xf>
    <xf numFmtId="0" fontId="0" fillId="0" borderId="4" xfId="0" applyFont="1" applyFill="1" applyBorder="1"/>
    <xf numFmtId="0" fontId="1" fillId="0" borderId="6" xfId="0" applyFont="1" applyFill="1" applyBorder="1"/>
    <xf numFmtId="0" fontId="1" fillId="0" borderId="7" xfId="0" applyFont="1" applyBorder="1"/>
    <xf numFmtId="0" fontId="1" fillId="0" borderId="7" xfId="0" applyFont="1" applyFill="1" applyBorder="1" applyAlignment="1">
      <alignment horizontal="right"/>
    </xf>
    <xf numFmtId="0" fontId="0" fillId="0" borderId="7" xfId="0" applyFont="1" applyBorder="1" applyAlignment="1">
      <alignment horizontal="right"/>
    </xf>
    <xf numFmtId="0" fontId="0" fillId="0" borderId="8" xfId="0" applyFont="1" applyBorder="1" applyAlignment="1">
      <alignment horizontal="right"/>
    </xf>
    <xf numFmtId="0" fontId="0" fillId="0" borderId="0" xfId="0" applyBorder="1" applyProtection="1">
      <protection locked="0"/>
    </xf>
    <xf numFmtId="0" fontId="4" fillId="0" borderId="1" xfId="0" applyFont="1" applyFill="1" applyBorder="1"/>
    <xf numFmtId="0" fontId="5" fillId="0" borderId="0" xfId="1"/>
    <xf numFmtId="0" fontId="0" fillId="0" borderId="0" xfId="0" applyFont="1" applyBorder="1" applyProtection="1">
      <protection locked="0"/>
    </xf>
    <xf numFmtId="0" fontId="0" fillId="0" borderId="0" xfId="0" applyFill="1" applyBorder="1" applyProtection="1"/>
    <xf numFmtId="0" fontId="0" fillId="0" borderId="0" xfId="0" applyBorder="1" applyProtection="1"/>
    <xf numFmtId="1" fontId="0" fillId="0" borderId="0" xfId="0" applyNumberFormat="1" applyBorder="1" applyProtection="1"/>
    <xf numFmtId="1" fontId="1" fillId="0" borderId="0" xfId="0" applyNumberFormat="1" applyFont="1" applyBorder="1" applyProtection="1"/>
    <xf numFmtId="1" fontId="0" fillId="0" borderId="0" xfId="0" applyNumberFormat="1" applyFont="1" applyBorder="1" applyProtection="1"/>
    <xf numFmtId="1" fontId="0" fillId="0" borderId="0" xfId="0" applyNumberFormat="1" applyFont="1" applyBorder="1" applyAlignment="1" applyProtection="1">
      <alignment horizontal="left" indent="4"/>
    </xf>
    <xf numFmtId="0" fontId="0" fillId="2" borderId="0" xfId="0" applyFont="1" applyFill="1" applyBorder="1" applyAlignment="1" applyProtection="1">
      <alignment horizontal="right"/>
      <protection locked="0"/>
    </xf>
    <xf numFmtId="1" fontId="0" fillId="0" borderId="0" xfId="0" applyNumberFormat="1" applyFont="1" applyFill="1" applyBorder="1" applyProtection="1"/>
    <xf numFmtId="0" fontId="0" fillId="0" borderId="0" xfId="0" applyFont="1" applyFill="1" applyBorder="1" applyProtection="1"/>
    <xf numFmtId="1" fontId="1" fillId="0" borderId="7" xfId="0" applyNumberFormat="1" applyFont="1" applyFill="1" applyBorder="1" applyProtection="1"/>
    <xf numFmtId="2" fontId="0" fillId="0" borderId="0" xfId="0" applyNumberFormat="1" applyBorder="1" applyAlignment="1" applyProtection="1">
      <alignment horizontal="right"/>
    </xf>
    <xf numFmtId="0" fontId="0" fillId="2" borderId="7" xfId="0" applyFill="1" applyBorder="1" applyProtection="1">
      <protection locked="0"/>
    </xf>
    <xf numFmtId="1" fontId="0" fillId="0" borderId="0" xfId="0" applyNumberFormat="1" applyFill="1" applyBorder="1" applyProtection="1"/>
    <xf numFmtId="1" fontId="1" fillId="0" borderId="7" xfId="0" applyNumberFormat="1" applyFont="1" applyBorder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nslocke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  <sheetView workbookViewId="1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86"/>
  <sheetViews>
    <sheetView tabSelected="1" workbookViewId="0">
      <selection activeCell="I7" sqref="I7"/>
    </sheetView>
    <sheetView tabSelected="1" topLeftCell="A4" workbookViewId="1">
      <selection activeCell="N40" sqref="N40"/>
    </sheetView>
  </sheetViews>
  <sheetFormatPr defaultRowHeight="14.4" x14ac:dyDescent="0.3"/>
  <cols>
    <col min="1" max="1" width="5.44140625" customWidth="1"/>
    <col min="2" max="2" width="9.33203125" bestFit="1" customWidth="1"/>
    <col min="3" max="3" width="11.44140625" bestFit="1" customWidth="1"/>
    <col min="5" max="5" width="10.33203125" bestFit="1" customWidth="1"/>
    <col min="6" max="6" width="8.88671875" style="2"/>
    <col min="7" max="7" width="6.6640625" style="2" customWidth="1"/>
    <col min="8" max="8" width="7.21875" style="2" customWidth="1"/>
    <col min="9" max="9" width="6.6640625" style="2" customWidth="1"/>
    <col min="10" max="10" width="7.6640625" customWidth="1"/>
    <col min="12" max="13" width="8.88671875" style="2"/>
    <col min="14" max="14" width="11.5546875" bestFit="1" customWidth="1"/>
    <col min="15" max="15" width="8.88671875" style="2"/>
    <col min="18" max="18" width="8.88671875" style="2"/>
    <col min="22" max="22" width="11" customWidth="1"/>
    <col min="23" max="23" width="8.21875" customWidth="1"/>
    <col min="24" max="24" width="3.77734375" customWidth="1"/>
  </cols>
  <sheetData>
    <row r="1" spans="2:24" x14ac:dyDescent="0.3">
      <c r="B1" s="13" t="s">
        <v>87</v>
      </c>
    </row>
    <row r="3" spans="2:24" x14ac:dyDescent="0.3">
      <c r="B3" s="3" t="s">
        <v>31</v>
      </c>
      <c r="C3" s="3"/>
      <c r="D3" s="3"/>
      <c r="E3" s="3"/>
      <c r="F3" s="7"/>
      <c r="G3" s="7"/>
      <c r="H3" s="7"/>
      <c r="I3" s="7"/>
      <c r="K3" s="4"/>
      <c r="L3" s="6"/>
      <c r="M3" s="6"/>
      <c r="N3" s="4"/>
      <c r="O3" s="6"/>
      <c r="P3" s="4"/>
      <c r="Q3" s="4"/>
      <c r="R3" s="6"/>
      <c r="S3" s="4"/>
      <c r="T3" s="4"/>
    </row>
    <row r="4" spans="2:24" x14ac:dyDescent="0.3">
      <c r="B4" s="4" t="s">
        <v>63</v>
      </c>
      <c r="C4" s="4"/>
      <c r="D4" s="4"/>
      <c r="E4" s="4"/>
      <c r="F4" s="6"/>
      <c r="G4" s="6"/>
      <c r="H4" s="6"/>
      <c r="I4" s="6"/>
      <c r="K4" s="4"/>
      <c r="L4" s="6"/>
      <c r="M4" s="6"/>
      <c r="N4" s="4"/>
      <c r="O4" s="6"/>
      <c r="P4" s="4"/>
      <c r="Q4" s="4"/>
      <c r="R4" s="6"/>
      <c r="S4" s="4"/>
      <c r="T4" s="4"/>
    </row>
    <row r="5" spans="2:24" ht="15" thickBot="1" x14ac:dyDescent="0.35">
      <c r="B5" s="4"/>
      <c r="C5" s="4"/>
      <c r="D5" s="4"/>
      <c r="E5" s="4"/>
      <c r="F5" s="6"/>
      <c r="G5" s="6"/>
      <c r="H5" s="6"/>
      <c r="I5" s="6"/>
      <c r="K5" s="4"/>
      <c r="L5" s="6"/>
      <c r="M5" s="6"/>
      <c r="N5" s="4"/>
      <c r="O5" s="6"/>
      <c r="P5" s="4"/>
      <c r="Q5" s="4"/>
      <c r="R5" s="6"/>
      <c r="S5" s="4"/>
      <c r="T5" s="4"/>
    </row>
    <row r="6" spans="2:24" x14ac:dyDescent="0.3">
      <c r="B6" s="37" t="s">
        <v>48</v>
      </c>
      <c r="C6" s="38"/>
      <c r="D6" s="38"/>
      <c r="E6" s="38"/>
      <c r="F6" s="39"/>
      <c r="G6" s="39"/>
      <c r="H6" s="39"/>
      <c r="I6" s="40"/>
      <c r="K6" s="37" t="s">
        <v>100</v>
      </c>
      <c r="L6" s="39"/>
      <c r="M6" s="39"/>
      <c r="N6" s="38"/>
      <c r="O6" s="39"/>
      <c r="P6" s="38"/>
      <c r="Q6" s="38"/>
      <c r="R6" s="39"/>
      <c r="S6" s="38"/>
      <c r="T6" s="38"/>
      <c r="U6" s="26"/>
      <c r="V6" s="26"/>
      <c r="W6" s="26"/>
      <c r="X6" s="45"/>
    </row>
    <row r="7" spans="2:24" x14ac:dyDescent="0.3">
      <c r="B7" s="41"/>
      <c r="C7" s="14"/>
      <c r="D7" s="14"/>
      <c r="E7" s="14"/>
      <c r="F7" s="15"/>
      <c r="G7" s="15"/>
      <c r="H7" s="15"/>
      <c r="I7" s="42"/>
      <c r="K7" s="31" t="s">
        <v>62</v>
      </c>
      <c r="L7" s="15"/>
      <c r="M7" s="15"/>
      <c r="N7" s="17">
        <v>43.79</v>
      </c>
      <c r="O7" s="18" t="s">
        <v>61</v>
      </c>
      <c r="P7" s="14"/>
      <c r="Q7" s="14"/>
      <c r="R7" s="15"/>
      <c r="S7" s="14"/>
      <c r="T7" s="14"/>
      <c r="U7" s="16"/>
      <c r="V7" s="16"/>
      <c r="W7" s="16"/>
      <c r="X7" s="46"/>
    </row>
    <row r="8" spans="2:24" x14ac:dyDescent="0.3">
      <c r="B8" s="31" t="s">
        <v>13</v>
      </c>
      <c r="C8" s="16"/>
      <c r="D8" s="16"/>
      <c r="E8" s="17">
        <v>1140</v>
      </c>
      <c r="F8" s="18" t="s">
        <v>2</v>
      </c>
      <c r="G8" s="18"/>
      <c r="H8" s="18"/>
      <c r="I8" s="30"/>
      <c r="K8" s="31" t="s">
        <v>79</v>
      </c>
      <c r="L8" s="18"/>
      <c r="M8" s="18"/>
      <c r="N8" s="17">
        <v>576</v>
      </c>
      <c r="O8" s="18" t="s">
        <v>61</v>
      </c>
      <c r="P8" s="18"/>
      <c r="Q8" s="16"/>
      <c r="R8" s="18"/>
      <c r="S8" s="16"/>
      <c r="T8" s="16"/>
      <c r="U8" s="16"/>
      <c r="V8" s="16"/>
      <c r="W8" s="16"/>
      <c r="X8" s="46"/>
    </row>
    <row r="9" spans="2:24" x14ac:dyDescent="0.3">
      <c r="B9" s="31" t="s">
        <v>9</v>
      </c>
      <c r="C9" s="16"/>
      <c r="D9" s="16"/>
      <c r="E9" s="17">
        <v>9</v>
      </c>
      <c r="F9" s="18" t="s">
        <v>3</v>
      </c>
      <c r="G9" s="18"/>
      <c r="H9" s="18"/>
      <c r="I9" s="30"/>
      <c r="K9" s="31"/>
      <c r="L9" s="18"/>
      <c r="M9" s="18"/>
      <c r="N9" s="79"/>
      <c r="O9" s="18"/>
      <c r="P9" s="18"/>
      <c r="Q9" s="14"/>
      <c r="R9" s="18"/>
      <c r="S9" s="16"/>
      <c r="T9" s="16"/>
      <c r="U9" s="16"/>
      <c r="V9" s="16"/>
      <c r="W9" s="16"/>
      <c r="X9" s="46"/>
    </row>
    <row r="10" spans="2:24" x14ac:dyDescent="0.3">
      <c r="B10" s="31" t="s">
        <v>64</v>
      </c>
      <c r="C10" s="16"/>
      <c r="D10" s="16"/>
      <c r="E10" s="83">
        <f>SUM(E8*E9)</f>
        <v>10260</v>
      </c>
      <c r="F10" s="18" t="s">
        <v>0</v>
      </c>
      <c r="G10" s="19" t="s">
        <v>11</v>
      </c>
      <c r="H10" s="20">
        <f>SUM(E10/278)</f>
        <v>36.906474820143885</v>
      </c>
      <c r="I10" s="30" t="s">
        <v>8</v>
      </c>
      <c r="K10" s="31" t="s">
        <v>66</v>
      </c>
      <c r="L10" s="16"/>
      <c r="M10" s="18"/>
      <c r="N10" s="21">
        <v>30</v>
      </c>
      <c r="O10" s="18" t="s">
        <v>61</v>
      </c>
      <c r="P10" s="16"/>
      <c r="Q10" s="16" t="s">
        <v>19</v>
      </c>
      <c r="R10" s="16"/>
      <c r="S10" s="14">
        <f>SUM(N7)</f>
        <v>43.79</v>
      </c>
      <c r="T10" s="44" t="s">
        <v>67</v>
      </c>
      <c r="U10" s="16"/>
      <c r="V10" s="16"/>
      <c r="W10" s="16"/>
      <c r="X10" s="46"/>
    </row>
    <row r="11" spans="2:24" ht="15" thickBot="1" x14ac:dyDescent="0.35">
      <c r="B11" s="33"/>
      <c r="C11" s="34"/>
      <c r="D11" s="34"/>
      <c r="E11" s="34"/>
      <c r="F11" s="35"/>
      <c r="G11" s="35"/>
      <c r="H11" s="35"/>
      <c r="I11" s="36"/>
      <c r="K11" s="33" t="s">
        <v>99</v>
      </c>
      <c r="L11" s="35"/>
      <c r="M11" s="35"/>
      <c r="N11" s="94">
        <v>400</v>
      </c>
      <c r="O11" s="35" t="s">
        <v>1</v>
      </c>
      <c r="P11" s="34"/>
      <c r="Q11" s="34" t="s">
        <v>19</v>
      </c>
      <c r="R11" s="34"/>
      <c r="S11" s="47">
        <f>SUM(N8)</f>
        <v>576</v>
      </c>
      <c r="T11" s="48" t="s">
        <v>67</v>
      </c>
      <c r="U11" s="34"/>
      <c r="V11" s="34"/>
      <c r="W11" s="34"/>
      <c r="X11" s="49"/>
    </row>
    <row r="12" spans="2:24" x14ac:dyDescent="0.3">
      <c r="B12" s="16"/>
      <c r="C12" s="16"/>
      <c r="D12" s="16"/>
      <c r="E12" s="16"/>
      <c r="F12" s="18"/>
      <c r="G12" s="18"/>
      <c r="H12" s="18"/>
      <c r="I12" s="18"/>
      <c r="K12" s="16"/>
      <c r="L12" s="18"/>
      <c r="M12" s="18"/>
      <c r="N12" s="14"/>
      <c r="O12" s="18"/>
      <c r="P12" s="16"/>
      <c r="Q12" s="16"/>
      <c r="R12" s="14"/>
      <c r="S12" s="44"/>
      <c r="T12" s="16"/>
      <c r="U12" s="16"/>
      <c r="V12" s="16"/>
    </row>
    <row r="13" spans="2:24" ht="15" thickBot="1" x14ac:dyDescent="0.35"/>
    <row r="14" spans="2:24" x14ac:dyDescent="0.3">
      <c r="B14" s="43" t="s">
        <v>51</v>
      </c>
      <c r="C14" s="26"/>
      <c r="D14" s="26"/>
      <c r="E14" s="26"/>
      <c r="F14" s="27"/>
      <c r="G14" s="27"/>
      <c r="H14" s="27"/>
      <c r="I14" s="28"/>
      <c r="K14" s="43" t="s">
        <v>96</v>
      </c>
      <c r="L14" s="27"/>
      <c r="M14" s="27"/>
      <c r="N14" s="26"/>
      <c r="O14" s="27"/>
      <c r="P14" s="26"/>
      <c r="Q14" s="26"/>
      <c r="R14" s="27"/>
      <c r="S14" s="26"/>
      <c r="T14" s="26"/>
      <c r="U14" s="26"/>
      <c r="V14" s="26"/>
      <c r="W14" s="26"/>
      <c r="X14" s="45"/>
    </row>
    <row r="15" spans="2:24" x14ac:dyDescent="0.3">
      <c r="B15" s="29"/>
      <c r="C15" s="16"/>
      <c r="D15" s="16"/>
      <c r="E15" s="16"/>
      <c r="F15" s="18"/>
      <c r="G15" s="18"/>
      <c r="H15" s="18"/>
      <c r="I15" s="30"/>
      <c r="K15" s="31"/>
      <c r="L15" s="18"/>
      <c r="M15" s="18"/>
      <c r="N15" s="16"/>
      <c r="O15" s="18"/>
      <c r="P15" s="50"/>
      <c r="Q15" s="51"/>
      <c r="R15" s="18"/>
      <c r="S15" s="16"/>
      <c r="T15" s="16"/>
      <c r="U15" s="16"/>
      <c r="V15" s="16"/>
      <c r="W15" s="16"/>
      <c r="X15" s="46"/>
    </row>
    <row r="16" spans="2:24" x14ac:dyDescent="0.3">
      <c r="B16" s="31" t="s">
        <v>23</v>
      </c>
      <c r="C16" s="16"/>
      <c r="D16" s="16"/>
      <c r="E16" s="21">
        <v>1.35</v>
      </c>
      <c r="F16" s="18"/>
      <c r="G16" s="18"/>
      <c r="H16" s="18"/>
      <c r="I16" s="30"/>
      <c r="K16" s="31" t="s">
        <v>50</v>
      </c>
      <c r="L16" s="18"/>
      <c r="M16" s="18"/>
      <c r="N16" s="16"/>
      <c r="O16" s="18"/>
      <c r="P16" s="50"/>
      <c r="Q16" s="51"/>
      <c r="R16" s="18"/>
      <c r="S16" s="16"/>
      <c r="T16" s="16"/>
      <c r="U16" s="16"/>
      <c r="V16" s="16"/>
      <c r="W16" s="16"/>
      <c r="X16" s="46"/>
    </row>
    <row r="17" spans="2:24" x14ac:dyDescent="0.3">
      <c r="B17" s="31" t="s">
        <v>24</v>
      </c>
      <c r="C17" s="16"/>
      <c r="D17" s="16"/>
      <c r="E17" s="84">
        <f>$E$8</f>
        <v>1140</v>
      </c>
      <c r="F17" s="18"/>
      <c r="G17" s="18"/>
      <c r="H17" s="18"/>
      <c r="I17" s="30"/>
      <c r="K17" s="31" t="s">
        <v>10</v>
      </c>
      <c r="L17" s="18"/>
      <c r="M17" s="18"/>
      <c r="N17" s="17">
        <v>2.5</v>
      </c>
      <c r="O17" s="18"/>
      <c r="Q17" s="53" t="s">
        <v>104</v>
      </c>
      <c r="R17" s="18"/>
      <c r="S17" s="16"/>
      <c r="T17" s="16"/>
      <c r="U17" s="16"/>
      <c r="V17" s="16"/>
      <c r="W17" s="16"/>
      <c r="X17" s="46"/>
    </row>
    <row r="18" spans="2:24" x14ac:dyDescent="0.3">
      <c r="B18" s="31" t="s">
        <v>26</v>
      </c>
      <c r="C18" s="16"/>
      <c r="D18" s="16"/>
      <c r="E18" s="85">
        <f>SUM(E17*E16)</f>
        <v>1539</v>
      </c>
      <c r="F18" s="18" t="s">
        <v>1</v>
      </c>
      <c r="G18" s="18"/>
      <c r="H18" s="18"/>
      <c r="I18" s="30"/>
      <c r="K18" s="31"/>
      <c r="L18" s="18"/>
      <c r="M18" s="18"/>
      <c r="N18" s="16"/>
      <c r="O18" s="18"/>
      <c r="P18" s="18"/>
      <c r="Q18" s="16"/>
      <c r="R18" s="18"/>
      <c r="S18" s="16"/>
      <c r="T18" s="16"/>
      <c r="U18" s="16"/>
      <c r="V18" s="16"/>
      <c r="W18" s="16"/>
      <c r="X18" s="46"/>
    </row>
    <row r="19" spans="2:24" x14ac:dyDescent="0.3">
      <c r="B19" s="31" t="s">
        <v>78</v>
      </c>
      <c r="C19" s="16"/>
      <c r="D19" s="16"/>
      <c r="E19" s="17">
        <v>330</v>
      </c>
      <c r="F19" s="18" t="s">
        <v>1</v>
      </c>
      <c r="G19" s="18"/>
      <c r="H19" s="18"/>
      <c r="I19" s="30"/>
      <c r="K19" s="31" t="s">
        <v>59</v>
      </c>
      <c r="L19" s="18"/>
      <c r="M19" s="18"/>
      <c r="N19" s="84">
        <f>SUM(E10/N17)</f>
        <v>4104</v>
      </c>
      <c r="O19" s="18" t="s">
        <v>0</v>
      </c>
      <c r="P19" s="18"/>
      <c r="Q19" s="16"/>
      <c r="R19" s="18"/>
      <c r="S19" s="16"/>
      <c r="T19" s="16"/>
      <c r="U19" s="16"/>
      <c r="V19" s="16"/>
      <c r="W19" s="16"/>
      <c r="X19" s="46"/>
    </row>
    <row r="20" spans="2:24" x14ac:dyDescent="0.3">
      <c r="B20" s="31" t="s">
        <v>36</v>
      </c>
      <c r="C20" s="16"/>
      <c r="D20" s="16"/>
      <c r="E20" s="23">
        <v>300</v>
      </c>
      <c r="F20" s="18" t="s">
        <v>1</v>
      </c>
      <c r="G20" s="18"/>
      <c r="H20" s="18"/>
      <c r="I20" s="30"/>
      <c r="K20" s="31" t="s">
        <v>5</v>
      </c>
      <c r="L20" s="18"/>
      <c r="M20" s="18"/>
      <c r="N20" s="17">
        <v>15</v>
      </c>
      <c r="O20" s="18" t="s">
        <v>6</v>
      </c>
      <c r="P20" s="18"/>
      <c r="Q20" s="16"/>
      <c r="R20" s="18"/>
      <c r="S20" s="16"/>
      <c r="T20" s="16"/>
      <c r="U20" s="16"/>
      <c r="V20" s="16"/>
      <c r="W20" s="16"/>
      <c r="X20" s="46"/>
    </row>
    <row r="21" spans="2:24" x14ac:dyDescent="0.3">
      <c r="B21" s="31"/>
      <c r="C21" s="16"/>
      <c r="D21" s="16"/>
      <c r="E21" s="24"/>
      <c r="F21" s="18"/>
      <c r="G21" s="18"/>
      <c r="H21" s="18"/>
      <c r="I21" s="30"/>
      <c r="K21" s="31" t="s">
        <v>60</v>
      </c>
      <c r="L21" s="18"/>
      <c r="M21" s="18"/>
      <c r="N21" s="85">
        <f>SUM(N19/(1-N20/100))</f>
        <v>4828.2352941176468</v>
      </c>
      <c r="O21" s="18"/>
      <c r="P21" s="18"/>
      <c r="Q21" s="16"/>
      <c r="R21" s="18"/>
      <c r="S21" s="16"/>
      <c r="T21" s="16"/>
      <c r="U21" s="16"/>
      <c r="V21" s="16"/>
      <c r="W21" s="16"/>
      <c r="X21" s="46"/>
    </row>
    <row r="22" spans="2:24" x14ac:dyDescent="0.3">
      <c r="B22" s="32" t="s">
        <v>49</v>
      </c>
      <c r="C22" s="16"/>
      <c r="D22" s="16"/>
      <c r="E22" s="86">
        <f>SUM(E18:E20)</f>
        <v>2169</v>
      </c>
      <c r="F22" s="25" t="s">
        <v>1</v>
      </c>
      <c r="G22" s="18"/>
      <c r="H22" s="18"/>
      <c r="I22" s="30"/>
      <c r="K22" s="31" t="s">
        <v>38</v>
      </c>
      <c r="L22" s="18"/>
      <c r="M22" s="18"/>
      <c r="N22" s="17">
        <v>0.1</v>
      </c>
      <c r="O22" s="18" t="s">
        <v>1</v>
      </c>
      <c r="P22" s="18"/>
      <c r="Q22" s="16" t="s">
        <v>80</v>
      </c>
      <c r="R22" s="18"/>
      <c r="S22" s="16"/>
      <c r="T22" s="16"/>
      <c r="U22" s="16"/>
      <c r="V22" s="16"/>
      <c r="W22" s="16"/>
      <c r="X22" s="46"/>
    </row>
    <row r="23" spans="2:24" ht="15" thickBot="1" x14ac:dyDescent="0.35">
      <c r="B23" s="33"/>
      <c r="C23" s="34"/>
      <c r="D23" s="34"/>
      <c r="E23" s="34"/>
      <c r="F23" s="35"/>
      <c r="G23" s="35"/>
      <c r="H23" s="35"/>
      <c r="I23" s="36"/>
      <c r="K23" s="31"/>
      <c r="L23" s="18"/>
      <c r="M23" s="18"/>
      <c r="N23" s="16"/>
      <c r="O23" s="18"/>
      <c r="P23" s="18"/>
      <c r="Q23" s="16"/>
      <c r="R23" s="18"/>
      <c r="S23" s="16"/>
      <c r="T23" s="16"/>
      <c r="U23" s="16"/>
      <c r="V23" s="16"/>
      <c r="W23" s="16"/>
      <c r="X23" s="46"/>
    </row>
    <row r="24" spans="2:24" x14ac:dyDescent="0.3">
      <c r="K24" s="52" t="s">
        <v>97</v>
      </c>
      <c r="L24" s="18"/>
      <c r="M24" s="18"/>
      <c r="N24" s="85">
        <f>SUM(N21*N22)</f>
        <v>482.8235294117647</v>
      </c>
      <c r="O24" s="18" t="s">
        <v>1</v>
      </c>
      <c r="P24" s="16"/>
      <c r="Q24" s="18" t="s">
        <v>7</v>
      </c>
      <c r="R24" s="51">
        <f>SUM(N24/H10)</f>
        <v>13.08235294117647</v>
      </c>
      <c r="S24" s="18" t="s">
        <v>1</v>
      </c>
      <c r="T24" s="53"/>
      <c r="U24" s="16"/>
      <c r="V24" s="16"/>
      <c r="W24" s="16"/>
      <c r="X24" s="46"/>
    </row>
    <row r="25" spans="2:24" ht="15" thickBot="1" x14ac:dyDescent="0.35">
      <c r="K25" s="31"/>
      <c r="L25" s="18"/>
      <c r="M25" s="18"/>
      <c r="N25" s="16"/>
      <c r="O25" s="18"/>
      <c r="P25" s="18"/>
      <c r="Q25" s="16"/>
      <c r="R25" s="18"/>
      <c r="S25" s="53"/>
      <c r="T25" s="16"/>
      <c r="U25" s="16"/>
      <c r="V25" s="16"/>
      <c r="W25" s="16"/>
      <c r="X25" s="46"/>
    </row>
    <row r="26" spans="2:24" x14ac:dyDescent="0.3">
      <c r="B26" s="43" t="s">
        <v>52</v>
      </c>
      <c r="C26" s="68"/>
      <c r="D26" s="68"/>
      <c r="E26" s="68"/>
      <c r="F26" s="69"/>
      <c r="G26" s="69"/>
      <c r="H26" s="69"/>
      <c r="I26" s="70"/>
      <c r="K26" s="31" t="s">
        <v>98</v>
      </c>
      <c r="L26" s="18"/>
      <c r="M26" s="18"/>
      <c r="N26" s="16"/>
      <c r="O26" s="18"/>
      <c r="P26" s="16"/>
      <c r="Q26" s="16"/>
      <c r="R26" s="18"/>
      <c r="S26" s="16"/>
      <c r="T26" s="16"/>
      <c r="U26" s="16"/>
      <c r="V26" s="16"/>
      <c r="W26" s="16"/>
      <c r="X26" s="46"/>
    </row>
    <row r="27" spans="2:24" ht="13.8" customHeight="1" x14ac:dyDescent="0.3">
      <c r="B27" s="71"/>
      <c r="C27" s="44"/>
      <c r="D27" s="44"/>
      <c r="E27" s="62"/>
      <c r="F27" s="63"/>
      <c r="G27" s="64"/>
      <c r="H27" s="65"/>
      <c r="I27" s="72"/>
      <c r="K27" s="31"/>
      <c r="L27" s="18"/>
      <c r="M27" s="18"/>
      <c r="N27" s="16"/>
      <c r="O27" s="18"/>
      <c r="P27" s="16"/>
      <c r="Q27" s="16"/>
      <c r="R27" s="18"/>
      <c r="S27" s="16"/>
      <c r="T27" s="16"/>
      <c r="U27" s="16"/>
      <c r="V27" s="16"/>
      <c r="W27" s="16"/>
      <c r="X27" s="46"/>
    </row>
    <row r="28" spans="2:24" x14ac:dyDescent="0.3">
      <c r="B28" s="71" t="s">
        <v>50</v>
      </c>
      <c r="C28" s="44"/>
      <c r="D28" s="44"/>
      <c r="E28" s="62"/>
      <c r="F28" s="63"/>
      <c r="G28" s="64"/>
      <c r="H28" s="65"/>
      <c r="I28" s="72"/>
      <c r="K28" s="52" t="s">
        <v>15</v>
      </c>
      <c r="L28" s="18"/>
      <c r="M28" s="18"/>
      <c r="N28" s="54">
        <v>30000000</v>
      </c>
      <c r="O28" s="18"/>
      <c r="P28" s="16"/>
      <c r="Q28" s="16"/>
      <c r="R28" s="18"/>
      <c r="S28" s="16"/>
      <c r="T28" s="16"/>
      <c r="U28" s="16"/>
      <c r="V28" s="16"/>
      <c r="W28" s="16"/>
      <c r="X28" s="46"/>
    </row>
    <row r="29" spans="2:24" x14ac:dyDescent="0.3">
      <c r="B29" s="71" t="s">
        <v>10</v>
      </c>
      <c r="C29" s="44"/>
      <c r="D29" s="44"/>
      <c r="E29" s="66">
        <v>3.5</v>
      </c>
      <c r="F29" s="63"/>
      <c r="G29" s="63"/>
      <c r="H29" s="63"/>
      <c r="I29" s="72"/>
      <c r="K29" s="31" t="s">
        <v>18</v>
      </c>
      <c r="L29" s="18"/>
      <c r="M29" s="18"/>
      <c r="N29" s="17"/>
      <c r="O29" s="18"/>
      <c r="P29" s="16"/>
      <c r="Q29" s="16"/>
      <c r="R29" s="18"/>
      <c r="S29" s="16"/>
      <c r="T29" s="16"/>
      <c r="U29" s="16"/>
      <c r="V29" s="16"/>
      <c r="W29" s="16"/>
      <c r="X29" s="46"/>
    </row>
    <row r="30" spans="2:24" x14ac:dyDescent="0.3">
      <c r="B30" s="71" t="s">
        <v>95</v>
      </c>
      <c r="C30" s="44"/>
      <c r="D30" s="44"/>
      <c r="E30" s="87">
        <f>SUM(E10/E29)</f>
        <v>2931.4285714285716</v>
      </c>
      <c r="F30" s="63" t="s">
        <v>0</v>
      </c>
      <c r="G30" s="63"/>
      <c r="H30" s="63"/>
      <c r="I30" s="72"/>
      <c r="K30" s="31" t="s">
        <v>81</v>
      </c>
      <c r="L30" s="18"/>
      <c r="M30" s="18"/>
      <c r="N30" s="17"/>
      <c r="O30" s="18"/>
      <c r="P30" s="16"/>
      <c r="Q30" s="16"/>
      <c r="R30" s="18"/>
      <c r="S30" s="16"/>
      <c r="T30" s="16"/>
      <c r="U30" s="16"/>
      <c r="V30" s="16"/>
      <c r="W30" s="16"/>
      <c r="X30" s="46"/>
    </row>
    <row r="31" spans="2:24" x14ac:dyDescent="0.3">
      <c r="B31" s="71" t="s">
        <v>38</v>
      </c>
      <c r="C31" s="44"/>
      <c r="D31" s="44"/>
      <c r="E31" s="66">
        <v>0.4</v>
      </c>
      <c r="F31" s="63" t="s">
        <v>1</v>
      </c>
      <c r="G31" s="63"/>
      <c r="H31" s="63"/>
      <c r="I31" s="72"/>
      <c r="K31" s="31" t="s">
        <v>16</v>
      </c>
      <c r="L31" s="18"/>
      <c r="M31" s="18"/>
      <c r="N31" s="17">
        <v>850</v>
      </c>
      <c r="O31" s="18"/>
      <c r="P31" s="16"/>
      <c r="Q31" s="16"/>
      <c r="R31" s="18"/>
      <c r="S31" s="16"/>
      <c r="T31" s="16"/>
      <c r="U31" s="16"/>
      <c r="V31" s="16"/>
      <c r="W31" s="16"/>
      <c r="X31" s="46"/>
    </row>
    <row r="32" spans="2:24" x14ac:dyDescent="0.3">
      <c r="B32" s="71"/>
      <c r="C32" s="44"/>
      <c r="D32" s="44"/>
      <c r="E32" s="82"/>
      <c r="F32" s="63"/>
      <c r="G32" s="63"/>
      <c r="H32" s="63"/>
      <c r="I32" s="72"/>
      <c r="K32" s="31" t="s">
        <v>17</v>
      </c>
      <c r="L32" s="18"/>
      <c r="M32" s="18"/>
      <c r="N32" s="95">
        <f>SUM((N28+N29-N30)/N31)</f>
        <v>35294.117647058825</v>
      </c>
      <c r="O32" s="18"/>
      <c r="P32" s="16"/>
      <c r="Q32" s="16"/>
      <c r="R32" s="18"/>
      <c r="S32" s="16"/>
      <c r="T32" s="16"/>
      <c r="U32" s="16"/>
      <c r="V32" s="16"/>
      <c r="W32" s="16"/>
      <c r="X32" s="46"/>
    </row>
    <row r="33" spans="2:24" x14ac:dyDescent="0.3">
      <c r="B33" s="71" t="s">
        <v>46</v>
      </c>
      <c r="C33" s="44"/>
      <c r="D33" s="44"/>
      <c r="E33" s="88">
        <f>SUM(E30*E31)</f>
        <v>1172.5714285714287</v>
      </c>
      <c r="F33" s="63" t="s">
        <v>1</v>
      </c>
      <c r="G33" s="63" t="s">
        <v>7</v>
      </c>
      <c r="H33" s="65">
        <f>SUM(E33/H10)</f>
        <v>31.771428571428576</v>
      </c>
      <c r="I33" s="72" t="s">
        <v>12</v>
      </c>
      <c r="K33" s="31" t="s">
        <v>82</v>
      </c>
      <c r="L33" s="18"/>
      <c r="M33" s="18"/>
      <c r="N33" s="23">
        <v>3775</v>
      </c>
      <c r="O33" s="18"/>
      <c r="P33" s="16"/>
      <c r="Q33" s="16"/>
      <c r="R33" s="18"/>
      <c r="S33" s="16"/>
      <c r="T33" s="16"/>
      <c r="U33" s="16"/>
      <c r="V33" s="16"/>
      <c r="W33" s="16"/>
      <c r="X33" s="46"/>
    </row>
    <row r="34" spans="2:24" x14ac:dyDescent="0.3">
      <c r="B34" s="71"/>
      <c r="C34" s="44"/>
      <c r="D34" s="44"/>
      <c r="E34" s="44"/>
      <c r="F34" s="63"/>
      <c r="G34" s="63"/>
      <c r="H34" s="63"/>
      <c r="I34" s="72"/>
      <c r="K34" s="31" t="s">
        <v>83</v>
      </c>
      <c r="L34" s="18"/>
      <c r="M34" s="18"/>
      <c r="N34" s="95">
        <f>SUM(N32-N33)</f>
        <v>31519.117647058825</v>
      </c>
      <c r="O34" s="18"/>
      <c r="P34" s="16"/>
      <c r="Q34" s="16"/>
      <c r="R34" s="18"/>
      <c r="S34" s="16"/>
      <c r="T34" s="16"/>
      <c r="U34" s="16"/>
      <c r="V34" s="16"/>
      <c r="W34" s="16"/>
      <c r="X34" s="46"/>
    </row>
    <row r="35" spans="2:24" x14ac:dyDescent="0.3">
      <c r="B35" s="71"/>
      <c r="C35" s="44"/>
      <c r="D35" s="44"/>
      <c r="E35" s="44"/>
      <c r="F35" s="63"/>
      <c r="G35" s="63"/>
      <c r="H35" s="63"/>
      <c r="I35" s="72"/>
      <c r="K35" s="41" t="s">
        <v>41</v>
      </c>
      <c r="L35" s="56" t="s">
        <v>42</v>
      </c>
      <c r="M35" s="15"/>
      <c r="N35" s="57">
        <v>4.5</v>
      </c>
      <c r="O35" s="18" t="s">
        <v>6</v>
      </c>
      <c r="P35" s="16"/>
      <c r="Q35" s="16"/>
      <c r="R35" s="18"/>
      <c r="S35" s="16"/>
      <c r="T35" s="16"/>
      <c r="U35" s="16"/>
      <c r="V35" s="16"/>
      <c r="W35" s="16"/>
      <c r="X35" s="46"/>
    </row>
    <row r="36" spans="2:24" x14ac:dyDescent="0.3">
      <c r="B36" s="71" t="s">
        <v>47</v>
      </c>
      <c r="C36" s="44"/>
      <c r="D36" s="44"/>
      <c r="E36" s="44"/>
      <c r="F36" s="63"/>
      <c r="G36" s="63"/>
      <c r="H36" s="63"/>
      <c r="I36" s="72"/>
      <c r="K36" s="41"/>
      <c r="L36" s="14" t="s">
        <v>40</v>
      </c>
      <c r="M36" s="15"/>
      <c r="N36" s="58">
        <v>360</v>
      </c>
      <c r="O36" s="18" t="s">
        <v>43</v>
      </c>
      <c r="P36" s="16"/>
      <c r="Q36" s="16"/>
      <c r="R36" s="18"/>
      <c r="S36" s="16"/>
      <c r="T36" s="16"/>
      <c r="U36" s="16"/>
      <c r="V36" s="16"/>
      <c r="W36" s="16"/>
      <c r="X36" s="46"/>
    </row>
    <row r="37" spans="2:24" x14ac:dyDescent="0.3">
      <c r="B37" s="71"/>
      <c r="C37" s="44"/>
      <c r="D37" s="44"/>
      <c r="E37" s="44"/>
      <c r="F37" s="63"/>
      <c r="G37" s="63"/>
      <c r="H37" s="63"/>
      <c r="I37" s="72"/>
      <c r="K37" s="41"/>
      <c r="L37" s="15"/>
      <c r="M37" s="15"/>
      <c r="N37" s="95">
        <f>-PMT(N35/12/100,N36,N34)</f>
        <v>159.70273890438384</v>
      </c>
      <c r="O37" s="18" t="s">
        <v>45</v>
      </c>
      <c r="P37" s="16"/>
      <c r="Q37" s="16"/>
      <c r="R37" s="18"/>
      <c r="S37" s="16"/>
      <c r="T37" s="16"/>
      <c r="U37" s="16"/>
      <c r="V37" s="16"/>
      <c r="W37" s="16"/>
      <c r="X37" s="46"/>
    </row>
    <row r="38" spans="2:24" x14ac:dyDescent="0.3">
      <c r="B38" s="71" t="s">
        <v>20</v>
      </c>
      <c r="C38" s="62"/>
      <c r="D38" s="62"/>
      <c r="E38" s="66">
        <v>80</v>
      </c>
      <c r="F38" s="63"/>
      <c r="G38" s="63"/>
      <c r="H38" s="63" t="s">
        <v>21</v>
      </c>
      <c r="I38" s="72"/>
      <c r="K38" s="41" t="s">
        <v>73</v>
      </c>
      <c r="L38" s="15"/>
      <c r="M38" s="15"/>
      <c r="N38" s="95">
        <f>SUM(N37*12)</f>
        <v>1916.4328668526059</v>
      </c>
      <c r="O38" s="18" t="s">
        <v>44</v>
      </c>
      <c r="P38" s="16"/>
      <c r="Q38" s="16" t="s">
        <v>84</v>
      </c>
      <c r="R38" s="18"/>
      <c r="S38" s="16"/>
      <c r="T38" s="16"/>
      <c r="U38" s="16"/>
      <c r="V38" s="16"/>
      <c r="W38" s="16"/>
      <c r="X38" s="46"/>
    </row>
    <row r="39" spans="2:24" x14ac:dyDescent="0.3">
      <c r="B39" s="73"/>
      <c r="C39" s="62"/>
      <c r="D39" s="62"/>
      <c r="E39" s="62"/>
      <c r="F39" s="63"/>
      <c r="G39" s="63"/>
      <c r="H39" s="63" t="s">
        <v>22</v>
      </c>
      <c r="I39" s="72"/>
      <c r="K39" s="31"/>
      <c r="L39" s="18"/>
      <c r="M39" s="18"/>
      <c r="N39" s="16"/>
      <c r="O39" s="18"/>
      <c r="P39" s="16"/>
      <c r="Q39" s="16"/>
      <c r="R39" s="18"/>
      <c r="S39" s="16"/>
      <c r="T39" s="16"/>
      <c r="U39" s="16"/>
      <c r="V39" s="16"/>
      <c r="W39" s="16"/>
      <c r="X39" s="46"/>
    </row>
    <row r="40" spans="2:24" x14ac:dyDescent="0.3">
      <c r="B40" s="71" t="s">
        <v>14</v>
      </c>
      <c r="C40" s="44"/>
      <c r="D40" s="44"/>
      <c r="E40" s="66">
        <v>12000</v>
      </c>
      <c r="F40" s="63" t="s">
        <v>1</v>
      </c>
      <c r="G40" s="63"/>
      <c r="H40" s="63"/>
      <c r="I40" s="72"/>
      <c r="K40" s="31" t="s">
        <v>35</v>
      </c>
      <c r="L40" s="18"/>
      <c r="M40" s="18"/>
      <c r="N40" s="17"/>
      <c r="O40" s="18"/>
      <c r="P40" s="16"/>
      <c r="Q40" s="22"/>
      <c r="R40" s="18"/>
      <c r="S40" s="53"/>
      <c r="T40" s="16"/>
      <c r="U40" s="16"/>
      <c r="V40" s="16"/>
      <c r="W40" s="16"/>
      <c r="X40" s="46"/>
    </row>
    <row r="41" spans="2:24" x14ac:dyDescent="0.3">
      <c r="B41" s="71" t="s">
        <v>39</v>
      </c>
      <c r="C41" s="44"/>
      <c r="D41" s="44"/>
      <c r="E41" s="66"/>
      <c r="F41" s="63"/>
      <c r="G41" s="63"/>
      <c r="H41" s="63"/>
      <c r="I41" s="72"/>
      <c r="K41" s="31" t="s">
        <v>74</v>
      </c>
      <c r="L41" s="18"/>
      <c r="M41" s="18"/>
      <c r="N41" s="95">
        <f>SUM(N24)</f>
        <v>482.8235294117647</v>
      </c>
      <c r="O41" s="18" t="s">
        <v>72</v>
      </c>
      <c r="P41" s="16"/>
      <c r="Q41" s="22"/>
      <c r="R41" s="18"/>
      <c r="S41" s="53"/>
      <c r="T41" s="16"/>
      <c r="U41" s="16"/>
      <c r="V41" s="16"/>
      <c r="W41" s="16"/>
      <c r="X41" s="46"/>
    </row>
    <row r="42" spans="2:24" x14ac:dyDescent="0.3">
      <c r="B42" s="71" t="s">
        <v>25</v>
      </c>
      <c r="C42" s="44"/>
      <c r="D42" s="44"/>
      <c r="E42" s="91">
        <f>SUM(E40-E41)</f>
        <v>12000</v>
      </c>
      <c r="F42" s="63"/>
      <c r="G42" s="63"/>
      <c r="H42" s="63"/>
      <c r="I42" s="72"/>
      <c r="K42" s="31" t="s">
        <v>76</v>
      </c>
      <c r="L42" s="18"/>
      <c r="M42" s="18"/>
      <c r="N42" s="85">
        <f>SUM(N38+N24+N40)</f>
        <v>2399.2563962643708</v>
      </c>
      <c r="O42" s="18" t="s">
        <v>72</v>
      </c>
      <c r="P42" s="16"/>
      <c r="Q42" s="16" t="s">
        <v>75</v>
      </c>
      <c r="R42" s="18"/>
      <c r="S42" s="16"/>
      <c r="T42" s="16"/>
      <c r="U42" s="16"/>
      <c r="V42" s="16"/>
      <c r="W42" s="16"/>
      <c r="X42" s="46"/>
    </row>
    <row r="43" spans="2:24" x14ac:dyDescent="0.3">
      <c r="B43" s="73" t="s">
        <v>41</v>
      </c>
      <c r="C43" s="62" t="s">
        <v>42</v>
      </c>
      <c r="D43" s="62"/>
      <c r="E43" s="66">
        <v>4.5</v>
      </c>
      <c r="F43" s="63" t="s">
        <v>6</v>
      </c>
      <c r="G43" s="63"/>
      <c r="H43" s="63"/>
      <c r="I43" s="72"/>
      <c r="K43" s="31"/>
      <c r="L43" s="18"/>
      <c r="M43" s="18"/>
      <c r="N43" s="16"/>
      <c r="O43" s="18"/>
      <c r="P43" s="16"/>
      <c r="Q43" s="16"/>
      <c r="R43" s="18"/>
      <c r="S43" s="16"/>
      <c r="T43" s="16"/>
      <c r="U43" s="16"/>
      <c r="V43" s="16"/>
      <c r="W43" s="16"/>
      <c r="X43" s="46"/>
    </row>
    <row r="44" spans="2:24" x14ac:dyDescent="0.3">
      <c r="B44" s="73"/>
      <c r="C44" s="62" t="s">
        <v>40</v>
      </c>
      <c r="D44" s="62"/>
      <c r="E44" s="89">
        <v>180</v>
      </c>
      <c r="F44" s="63" t="s">
        <v>43</v>
      </c>
      <c r="G44" s="63"/>
      <c r="H44" s="67"/>
      <c r="I44" s="72"/>
      <c r="K44" s="31" t="s">
        <v>68</v>
      </c>
      <c r="L44" s="18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46"/>
    </row>
    <row r="45" spans="2:24" x14ac:dyDescent="0.3">
      <c r="B45" s="73"/>
      <c r="C45" s="62"/>
      <c r="D45" s="62"/>
      <c r="E45" s="90">
        <f>-PMT(E43/12/100,E44,E42)</f>
        <v>91.799194657614208</v>
      </c>
      <c r="F45" s="63" t="s">
        <v>45</v>
      </c>
      <c r="G45" s="63"/>
      <c r="H45" s="63"/>
      <c r="I45" s="72"/>
      <c r="K45" s="31"/>
      <c r="L45" s="18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46"/>
    </row>
    <row r="46" spans="2:24" x14ac:dyDescent="0.3">
      <c r="B46" s="73" t="s">
        <v>73</v>
      </c>
      <c r="C46" s="62"/>
      <c r="D46" s="62"/>
      <c r="E46" s="90">
        <f>SUM(E45*12)</f>
        <v>1101.5903358913706</v>
      </c>
      <c r="F46" s="63" t="s">
        <v>44</v>
      </c>
      <c r="G46" s="63"/>
      <c r="H46" s="63"/>
      <c r="I46" s="72"/>
      <c r="K46" s="41" t="s">
        <v>85</v>
      </c>
      <c r="L46" s="14"/>
      <c r="M46" s="14"/>
      <c r="N46" s="83">
        <f>SUM(N11)</f>
        <v>400</v>
      </c>
      <c r="O46" s="18" t="s">
        <v>72</v>
      </c>
      <c r="P46" s="14"/>
      <c r="Q46" s="16" t="s">
        <v>69</v>
      </c>
      <c r="R46" s="16"/>
      <c r="S46" s="16"/>
      <c r="T46" s="16"/>
      <c r="U46" s="16"/>
      <c r="V46" s="16"/>
      <c r="W46" s="14"/>
      <c r="X46" s="59"/>
    </row>
    <row r="47" spans="2:24" x14ac:dyDescent="0.3">
      <c r="B47" s="71"/>
      <c r="C47" s="44"/>
      <c r="D47" s="44"/>
      <c r="E47" s="44"/>
      <c r="F47" s="63"/>
      <c r="G47" s="63"/>
      <c r="H47" s="63"/>
      <c r="I47" s="72"/>
      <c r="K47" s="41" t="s">
        <v>86</v>
      </c>
      <c r="L47" s="14"/>
      <c r="M47" s="14"/>
      <c r="N47" s="85">
        <f>SUM(N10*H10)</f>
        <v>1107.1942446043165</v>
      </c>
      <c r="O47" s="18" t="s">
        <v>72</v>
      </c>
      <c r="P47" s="14"/>
      <c r="Q47" s="53" t="s">
        <v>29</v>
      </c>
      <c r="R47" s="16"/>
      <c r="S47" s="16"/>
      <c r="T47" s="16"/>
      <c r="U47" s="16"/>
      <c r="V47" s="16"/>
      <c r="W47" s="14"/>
      <c r="X47" s="59"/>
    </row>
    <row r="48" spans="2:24" x14ac:dyDescent="0.3">
      <c r="B48" s="73" t="s">
        <v>34</v>
      </c>
      <c r="C48" s="44"/>
      <c r="D48" s="44"/>
      <c r="E48" s="66"/>
      <c r="F48" s="63"/>
      <c r="G48" s="63"/>
      <c r="H48" s="63"/>
      <c r="I48" s="72"/>
      <c r="K48" s="31"/>
      <c r="L48" s="18"/>
      <c r="M48" s="18"/>
      <c r="N48" s="83"/>
      <c r="O48" s="18"/>
      <c r="P48" s="16"/>
      <c r="Q48" s="16"/>
      <c r="R48" s="16"/>
      <c r="S48" s="16"/>
      <c r="T48" s="16"/>
      <c r="U48" s="16"/>
      <c r="V48" s="16"/>
      <c r="W48" s="16"/>
      <c r="X48" s="46"/>
    </row>
    <row r="49" spans="2:24" x14ac:dyDescent="0.3">
      <c r="B49" s="71" t="s">
        <v>74</v>
      </c>
      <c r="C49" s="44"/>
      <c r="D49" s="44"/>
      <c r="E49" s="90">
        <f>SUM(E33)</f>
        <v>1172.5714285714287</v>
      </c>
      <c r="F49" s="63"/>
      <c r="G49" s="63"/>
      <c r="H49" s="63"/>
      <c r="I49" s="72"/>
      <c r="K49" s="31" t="s">
        <v>70</v>
      </c>
      <c r="L49" s="18"/>
      <c r="M49" s="18"/>
      <c r="N49" s="85">
        <f>SUM(N46+N47)</f>
        <v>1507.1942446043165</v>
      </c>
      <c r="O49" s="18" t="s">
        <v>72</v>
      </c>
      <c r="P49" s="16"/>
      <c r="Q49" s="16" t="s">
        <v>71</v>
      </c>
      <c r="R49" s="16"/>
      <c r="S49" s="16"/>
      <c r="T49" s="16"/>
      <c r="U49" s="16"/>
      <c r="V49" s="16"/>
      <c r="W49" s="16"/>
      <c r="X49" s="46"/>
    </row>
    <row r="50" spans="2:24" x14ac:dyDescent="0.3">
      <c r="B50" s="71"/>
      <c r="C50" s="44"/>
      <c r="D50" s="44"/>
      <c r="E50" s="82"/>
      <c r="F50" s="63"/>
      <c r="G50" s="63"/>
      <c r="H50" s="63"/>
      <c r="I50" s="72"/>
      <c r="K50" s="31"/>
      <c r="L50" s="18"/>
      <c r="M50" s="18"/>
      <c r="N50" s="84"/>
      <c r="O50" s="18"/>
      <c r="P50" s="16"/>
      <c r="Q50" s="16"/>
      <c r="R50" s="18"/>
      <c r="S50" s="16"/>
      <c r="T50" s="16"/>
      <c r="U50" s="16"/>
      <c r="V50" s="16"/>
      <c r="W50" s="16"/>
      <c r="X50" s="46"/>
    </row>
    <row r="51" spans="2:24" x14ac:dyDescent="0.3">
      <c r="B51" s="71"/>
      <c r="C51" s="44"/>
      <c r="D51" s="44"/>
      <c r="E51" s="82"/>
      <c r="F51" s="63"/>
      <c r="G51" s="63"/>
      <c r="H51" s="63"/>
      <c r="I51" s="72"/>
      <c r="K51" s="31"/>
      <c r="L51" s="18"/>
      <c r="M51" s="16"/>
      <c r="N51" s="84"/>
      <c r="O51" s="16"/>
      <c r="P51" s="16"/>
      <c r="Q51" s="16"/>
      <c r="R51" s="16"/>
      <c r="S51" s="16"/>
      <c r="T51" s="16"/>
      <c r="U51" s="16"/>
      <c r="V51" s="16"/>
      <c r="W51" s="16"/>
      <c r="X51" s="46"/>
    </row>
    <row r="52" spans="2:24" x14ac:dyDescent="0.3">
      <c r="B52" s="71"/>
      <c r="C52" s="44"/>
      <c r="D52" s="44"/>
      <c r="E52" s="82"/>
      <c r="F52" s="63"/>
      <c r="G52" s="63"/>
      <c r="H52" s="63"/>
      <c r="I52" s="72"/>
      <c r="K52" s="32" t="s">
        <v>91</v>
      </c>
      <c r="L52" s="18"/>
      <c r="M52" s="16"/>
      <c r="N52" s="84"/>
      <c r="O52" s="16"/>
      <c r="P52" s="16"/>
      <c r="Q52" s="16"/>
      <c r="R52" s="16"/>
      <c r="S52" s="16"/>
      <c r="T52" s="16"/>
      <c r="U52" s="16"/>
      <c r="V52" s="16"/>
      <c r="W52" s="16"/>
      <c r="X52" s="46"/>
    </row>
    <row r="53" spans="2:24" ht="15" thickBot="1" x14ac:dyDescent="0.35">
      <c r="B53" s="74" t="s">
        <v>53</v>
      </c>
      <c r="C53" s="75"/>
      <c r="D53" s="75"/>
      <c r="E53" s="92">
        <f>SUM(E49+E48+E46)</f>
        <v>2274.1617644627995</v>
      </c>
      <c r="F53" s="76" t="s">
        <v>1</v>
      </c>
      <c r="G53" s="77"/>
      <c r="H53" s="77"/>
      <c r="I53" s="78"/>
      <c r="K53" s="60" t="s">
        <v>93</v>
      </c>
      <c r="L53" s="35"/>
      <c r="M53" s="35"/>
      <c r="N53" s="96">
        <f>SUM(N49-N42)</f>
        <v>-892.06215166005427</v>
      </c>
      <c r="O53" s="61" t="s">
        <v>72</v>
      </c>
      <c r="P53" s="34"/>
      <c r="Q53" s="34"/>
      <c r="R53" s="35"/>
      <c r="S53" s="34"/>
      <c r="T53" s="34"/>
      <c r="U53" s="34"/>
      <c r="V53" s="34"/>
      <c r="W53" s="34"/>
      <c r="X53" s="49"/>
    </row>
    <row r="54" spans="2:24" x14ac:dyDescent="0.3">
      <c r="B54" t="s">
        <v>4</v>
      </c>
      <c r="K54" s="16"/>
      <c r="L54" s="18"/>
      <c r="M54" s="18"/>
      <c r="N54" s="16"/>
      <c r="O54" s="18"/>
      <c r="P54" s="16"/>
      <c r="Q54" s="16"/>
      <c r="R54" s="18"/>
      <c r="S54" s="16"/>
      <c r="T54" s="16"/>
      <c r="U54" s="16"/>
      <c r="V54" s="16"/>
      <c r="W54" s="16"/>
      <c r="X54" s="16"/>
    </row>
    <row r="55" spans="2:24" ht="15" thickBot="1" x14ac:dyDescent="0.35">
      <c r="K55" s="16"/>
      <c r="L55" s="18"/>
      <c r="M55" s="18"/>
      <c r="N55" s="16"/>
      <c r="O55" s="18"/>
      <c r="P55" s="16"/>
      <c r="Q55" s="16"/>
      <c r="R55" s="18"/>
      <c r="S55" s="16"/>
      <c r="T55" s="16"/>
      <c r="U55" s="16"/>
      <c r="V55" s="16"/>
      <c r="W55" s="16"/>
      <c r="X55" s="16"/>
    </row>
    <row r="56" spans="2:24" s="4" customFormat="1" x14ac:dyDescent="0.3">
      <c r="B56" s="80" t="s">
        <v>54</v>
      </c>
      <c r="C56" s="38"/>
      <c r="D56" s="38"/>
      <c r="E56" s="38"/>
      <c r="F56" s="38"/>
      <c r="G56" s="39"/>
      <c r="H56" s="39"/>
      <c r="I56" s="40"/>
      <c r="K56" s="16"/>
      <c r="L56" s="16"/>
      <c r="M56" s="18"/>
      <c r="N56" s="16"/>
      <c r="O56" s="22"/>
      <c r="P56" s="18"/>
      <c r="Q56" s="16"/>
      <c r="R56" s="16"/>
      <c r="S56" s="16"/>
      <c r="T56" s="16"/>
      <c r="U56" s="16"/>
      <c r="V56" s="14"/>
      <c r="W56" s="18"/>
      <c r="X56" s="16"/>
    </row>
    <row r="57" spans="2:24" s="4" customFormat="1" x14ac:dyDescent="0.3">
      <c r="B57" s="41"/>
      <c r="C57" s="14"/>
      <c r="D57" s="14"/>
      <c r="E57" s="55"/>
      <c r="F57" s="15"/>
      <c r="G57" s="15"/>
      <c r="H57" s="15"/>
      <c r="I57" s="42"/>
      <c r="K57" s="16"/>
      <c r="L57" s="18"/>
      <c r="M57" s="18"/>
      <c r="N57" s="16"/>
      <c r="O57" s="18"/>
      <c r="P57" s="16"/>
      <c r="Q57" s="16"/>
      <c r="R57" s="18"/>
      <c r="S57" s="22"/>
      <c r="T57" s="16"/>
      <c r="U57" s="16"/>
      <c r="V57" s="16"/>
      <c r="W57" s="16"/>
      <c r="X57" s="16"/>
    </row>
    <row r="58" spans="2:24" x14ac:dyDescent="0.3">
      <c r="B58" s="41" t="s">
        <v>57</v>
      </c>
      <c r="C58" s="16"/>
      <c r="D58" s="16"/>
      <c r="E58" s="93">
        <f>SUM(E10/278)</f>
        <v>36.906474820143885</v>
      </c>
      <c r="F58" s="18"/>
      <c r="G58" s="18"/>
      <c r="H58" s="18"/>
      <c r="I58" s="30"/>
      <c r="K58" s="14"/>
      <c r="L58" s="15"/>
      <c r="M58" s="15"/>
      <c r="N58" s="14"/>
      <c r="O58" s="15"/>
      <c r="P58" s="14"/>
      <c r="Q58" s="55"/>
      <c r="R58" s="15"/>
      <c r="S58" s="14"/>
      <c r="T58" s="14"/>
      <c r="U58" s="14"/>
      <c r="V58" s="14"/>
      <c r="W58" s="14"/>
      <c r="X58" s="14"/>
    </row>
    <row r="59" spans="2:24" x14ac:dyDescent="0.3">
      <c r="B59" s="41" t="s">
        <v>58</v>
      </c>
      <c r="C59" s="79"/>
      <c r="D59" s="16"/>
      <c r="E59" s="83">
        <f>SUM(N7)</f>
        <v>43.79</v>
      </c>
      <c r="F59" s="18" t="s">
        <v>1</v>
      </c>
      <c r="G59" s="18"/>
      <c r="H59" s="18"/>
      <c r="I59" s="30"/>
    </row>
    <row r="60" spans="2:24" x14ac:dyDescent="0.3">
      <c r="B60" s="41" t="s">
        <v>56</v>
      </c>
      <c r="C60" s="16"/>
      <c r="D60" s="16"/>
      <c r="E60" s="85">
        <f>SUM(E58*E59)</f>
        <v>1616.1345323741007</v>
      </c>
      <c r="F60" s="18" t="s">
        <v>1</v>
      </c>
      <c r="G60" s="18"/>
      <c r="H60" s="18"/>
      <c r="I60" s="30"/>
    </row>
    <row r="61" spans="2:24" x14ac:dyDescent="0.3">
      <c r="B61" s="41" t="s">
        <v>55</v>
      </c>
      <c r="C61" s="16"/>
      <c r="D61" s="16"/>
      <c r="E61" s="83">
        <f>SUM(N8)</f>
        <v>576</v>
      </c>
      <c r="F61" s="18" t="s">
        <v>1</v>
      </c>
      <c r="G61" s="18"/>
      <c r="H61" s="18"/>
      <c r="I61" s="30"/>
    </row>
    <row r="62" spans="2:24" x14ac:dyDescent="0.3">
      <c r="B62" s="31"/>
      <c r="C62" s="16"/>
      <c r="D62" s="16"/>
      <c r="E62" s="83"/>
      <c r="F62" s="18"/>
      <c r="G62" s="18"/>
      <c r="H62" s="18"/>
      <c r="I62" s="30"/>
    </row>
    <row r="63" spans="2:24" ht="15" thickBot="1" x14ac:dyDescent="0.35">
      <c r="B63" s="60" t="s">
        <v>65</v>
      </c>
      <c r="C63" s="75"/>
      <c r="D63" s="75"/>
      <c r="E63" s="92">
        <f>SUM(E61+E60)</f>
        <v>2192.1345323741007</v>
      </c>
      <c r="F63" s="61" t="s">
        <v>1</v>
      </c>
      <c r="G63" s="35"/>
      <c r="H63" s="35"/>
      <c r="I63" s="36"/>
    </row>
    <row r="64" spans="2:24" x14ac:dyDescent="0.3">
      <c r="E64" s="1"/>
    </row>
    <row r="65" spans="2:25" x14ac:dyDescent="0.3">
      <c r="E65" s="1"/>
    </row>
    <row r="66" spans="2:25" x14ac:dyDescent="0.3">
      <c r="B66" t="s">
        <v>94</v>
      </c>
      <c r="E66" s="12"/>
    </row>
    <row r="67" spans="2:25" x14ac:dyDescent="0.3">
      <c r="B67" t="s">
        <v>88</v>
      </c>
      <c r="E67" s="5"/>
    </row>
    <row r="68" spans="2:25" x14ac:dyDescent="0.3">
      <c r="B68" t="s">
        <v>89</v>
      </c>
    </row>
    <row r="69" spans="2:25" x14ac:dyDescent="0.3">
      <c r="B69" t="s">
        <v>90</v>
      </c>
      <c r="E69" s="1"/>
      <c r="Q69" s="5"/>
    </row>
    <row r="70" spans="2:25" x14ac:dyDescent="0.3">
      <c r="B70" t="s">
        <v>101</v>
      </c>
      <c r="E70" s="1"/>
      <c r="K70" s="4"/>
      <c r="L70" s="6"/>
      <c r="M70" s="6"/>
      <c r="N70" s="4"/>
      <c r="O70" s="6"/>
      <c r="P70" s="4"/>
      <c r="Q70" s="9"/>
      <c r="R70" s="6"/>
      <c r="S70" s="4"/>
      <c r="T70" s="4"/>
      <c r="U70" s="4"/>
      <c r="V70" s="4"/>
      <c r="W70" s="4"/>
      <c r="X70" s="4"/>
      <c r="Y70" s="4"/>
    </row>
    <row r="71" spans="2:25" x14ac:dyDescent="0.3">
      <c r="E71" s="1"/>
      <c r="K71" s="4"/>
      <c r="L71" s="6"/>
      <c r="M71" s="6"/>
      <c r="N71" s="4"/>
      <c r="O71" s="6"/>
      <c r="P71" s="4"/>
      <c r="Q71" s="9"/>
      <c r="R71" s="6"/>
      <c r="S71" s="9"/>
      <c r="T71" s="4"/>
      <c r="U71" s="4"/>
      <c r="V71" s="4"/>
      <c r="W71" s="4"/>
      <c r="X71" s="4"/>
      <c r="Y71" s="4"/>
    </row>
    <row r="72" spans="2:25" x14ac:dyDescent="0.3">
      <c r="B72" t="s">
        <v>33</v>
      </c>
      <c r="N72" s="8" t="s">
        <v>32</v>
      </c>
    </row>
    <row r="73" spans="2:25" x14ac:dyDescent="0.3">
      <c r="B73" s="8" t="s">
        <v>30</v>
      </c>
    </row>
    <row r="74" spans="2:25" x14ac:dyDescent="0.3">
      <c r="B74" t="s">
        <v>27</v>
      </c>
    </row>
    <row r="75" spans="2:25" x14ac:dyDescent="0.3">
      <c r="B75" t="s">
        <v>28</v>
      </c>
    </row>
    <row r="76" spans="2:25" x14ac:dyDescent="0.3">
      <c r="B76" t="s">
        <v>37</v>
      </c>
    </row>
    <row r="78" spans="2:25" x14ac:dyDescent="0.3">
      <c r="B78" t="s">
        <v>92</v>
      </c>
    </row>
    <row r="79" spans="2:25" x14ac:dyDescent="0.3">
      <c r="B79" t="s">
        <v>77</v>
      </c>
    </row>
    <row r="81" spans="2:3" x14ac:dyDescent="0.3">
      <c r="B81" s="81" t="s">
        <v>103</v>
      </c>
    </row>
    <row r="82" spans="2:3" x14ac:dyDescent="0.3">
      <c r="B82" t="s">
        <v>102</v>
      </c>
      <c r="C82" s="10"/>
    </row>
    <row r="86" spans="2:3" x14ac:dyDescent="0.3">
      <c r="C86" s="11"/>
    </row>
  </sheetData>
  <sheetProtection password="8BDC" sheet="1" objects="1" scenarios="1"/>
  <hyperlinks>
    <hyperlink ref="B81" r:id="rId1"/>
  </hyperlinks>
  <pageMargins left="0.7" right="0.7" top="0.75" bottom="0.75" header="0.3" footer="0.3"/>
  <pageSetup paperSize="9" scale="63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  <sheetView workbookViewId="1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  <sheetView workbookViewId="1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Blad4</vt:lpstr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Slockers</dc:creator>
  <cp:lastModifiedBy>Ron Slockers</cp:lastModifiedBy>
  <cp:lastPrinted>2025-12-01T08:53:38Z</cp:lastPrinted>
  <dcterms:created xsi:type="dcterms:W3CDTF">2025-11-25T14:30:16Z</dcterms:created>
  <dcterms:modified xsi:type="dcterms:W3CDTF">2025-12-06T16:32:41Z</dcterms:modified>
</cp:coreProperties>
</file>